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gusu\Documents\Darbs\SPRK_WEB\Elektroenergija\2024\TK\"/>
    </mc:Choice>
  </mc:AlternateContent>
  <xr:revisionPtr revIDLastSave="0" documentId="8_{3ACBF78F-C197-4A74-9E42-30A5BE1605AB}" xr6:coauthVersionLast="47" xr6:coauthVersionMax="47" xr10:uidLastSave="{00000000-0000-0000-0000-000000000000}"/>
  <bookViews>
    <workbookView xWindow="-120" yWindow="-120" windowWidth="25440" windowHeight="15270" xr2:uid="{ED07BDBD-98E5-4385-80F9-F49D282362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1" l="1"/>
  <c r="R30" i="1"/>
  <c r="P30" i="1"/>
  <c r="P29" i="1"/>
  <c r="P28" i="1"/>
  <c r="P27" i="1"/>
  <c r="P26" i="1"/>
  <c r="P25" i="1"/>
  <c r="P24" i="1"/>
  <c r="P23" i="1"/>
  <c r="P22" i="1"/>
  <c r="P21" i="1"/>
  <c r="P20" i="1"/>
  <c r="L31" i="1"/>
  <c r="K28" i="1"/>
  <c r="Q28" i="1"/>
  <c r="Q26" i="1"/>
  <c r="O28" i="1"/>
  <c r="O27" i="1"/>
  <c r="O25" i="1"/>
  <c r="O26" i="1"/>
  <c r="K20" i="1"/>
  <c r="K22" i="1"/>
  <c r="K21" i="1"/>
  <c r="K29" i="1"/>
  <c r="O16" i="1"/>
  <c r="O17" i="1"/>
  <c r="K31" i="1"/>
  <c r="L22" i="1"/>
  <c r="L21" i="1"/>
  <c r="L20" i="1"/>
  <c r="M14" i="1"/>
  <c r="O14" i="1" s="1"/>
  <c r="E11" i="1"/>
  <c r="M10" i="1" l="1"/>
  <c r="N10" i="1"/>
  <c r="M11" i="1"/>
  <c r="N11" i="1"/>
  <c r="M12" i="1"/>
  <c r="N12" i="1"/>
  <c r="M13" i="1"/>
  <c r="N13" i="1"/>
  <c r="N14" i="1"/>
  <c r="P14" i="1" s="1"/>
  <c r="M15" i="1"/>
  <c r="O15" i="1" s="1"/>
  <c r="N15" i="1"/>
  <c r="M16" i="1"/>
  <c r="N16" i="1"/>
  <c r="M17" i="1"/>
  <c r="N17" i="1"/>
  <c r="M18" i="1"/>
  <c r="N18" i="1"/>
  <c r="M19" i="1"/>
  <c r="N19" i="1"/>
  <c r="N9" i="1"/>
  <c r="M9" i="1"/>
  <c r="G14" i="1"/>
  <c r="G15" i="1"/>
  <c r="G16" i="1"/>
  <c r="G17" i="1"/>
  <c r="G18" i="1"/>
  <c r="G19" i="1"/>
  <c r="G20" i="1"/>
  <c r="G21" i="1"/>
  <c r="G22" i="1"/>
  <c r="G23" i="1"/>
  <c r="G24" i="1"/>
  <c r="R24" i="1" s="1"/>
  <c r="G26" i="1"/>
  <c r="R26" i="1" s="1"/>
  <c r="G27" i="1"/>
  <c r="R27" i="1" s="1"/>
  <c r="G28" i="1"/>
  <c r="R28" i="1" s="1"/>
  <c r="G29" i="1"/>
  <c r="R29" i="1" s="1"/>
  <c r="G30" i="1"/>
  <c r="G31" i="1"/>
  <c r="R31" i="1" s="1"/>
  <c r="G32" i="1"/>
  <c r="G33" i="1"/>
  <c r="R33" i="1" s="1"/>
  <c r="G34" i="1"/>
  <c r="R34" i="1" s="1"/>
  <c r="G35" i="1"/>
  <c r="G36" i="1"/>
  <c r="G37" i="1"/>
  <c r="G38" i="1"/>
  <c r="G40" i="1"/>
  <c r="G41" i="1"/>
  <c r="G42" i="1"/>
  <c r="R42" i="1" s="1"/>
  <c r="G43" i="1"/>
  <c r="G9" i="1"/>
  <c r="E10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Q29" i="1" s="1"/>
  <c r="E30" i="1"/>
  <c r="Q30" i="1" s="1"/>
  <c r="E31" i="1"/>
  <c r="Q31" i="1" s="1"/>
  <c r="E32" i="1"/>
  <c r="E33" i="1"/>
  <c r="Q33" i="1" s="1"/>
  <c r="E34" i="1"/>
  <c r="Q34" i="1" s="1"/>
  <c r="E35" i="1"/>
  <c r="Q35" i="1" s="1"/>
  <c r="E36" i="1"/>
  <c r="Q36" i="1" s="1"/>
  <c r="E37" i="1"/>
  <c r="Q37" i="1" s="1"/>
  <c r="E38" i="1"/>
  <c r="Q38" i="1" s="1"/>
  <c r="E39" i="1"/>
  <c r="K39" i="1" s="1"/>
  <c r="M39" i="1" s="1"/>
  <c r="E40" i="1"/>
  <c r="Q40" i="1" s="1"/>
  <c r="E41" i="1"/>
  <c r="E42" i="1"/>
  <c r="Q42" i="1" s="1"/>
  <c r="E43" i="1"/>
  <c r="Q43" i="1" s="1"/>
  <c r="E9" i="1"/>
  <c r="G10" i="1"/>
  <c r="G11" i="1"/>
  <c r="G12" i="1"/>
  <c r="G13" i="1"/>
  <c r="G25" i="1"/>
  <c r="R25" i="1" s="1"/>
  <c r="G39" i="1"/>
  <c r="O18" i="1" l="1"/>
  <c r="O19" i="1" s="1"/>
  <c r="Q32" i="1"/>
  <c r="R22" i="1"/>
  <c r="R35" i="1"/>
  <c r="L38" i="1" s="1"/>
  <c r="N38" i="1" s="1"/>
  <c r="Q24" i="1"/>
  <c r="Q23" i="1"/>
  <c r="R43" i="1"/>
  <c r="P15" i="1"/>
  <c r="P16" i="1" s="1"/>
  <c r="P17" i="1" s="1"/>
  <c r="P18" i="1" s="1"/>
  <c r="P19" i="1" s="1"/>
  <c r="R36" i="1"/>
  <c r="L39" i="1" s="1"/>
  <c r="N39" i="1" s="1"/>
  <c r="L36" i="1"/>
  <c r="N36" i="1" s="1"/>
  <c r="R20" i="1"/>
  <c r="N20" i="1"/>
  <c r="R41" i="1"/>
  <c r="R37" i="1"/>
  <c r="L40" i="1" s="1"/>
  <c r="N40" i="1" s="1"/>
  <c r="L37" i="1"/>
  <c r="N37" i="1" s="1"/>
  <c r="R21" i="1"/>
  <c r="R32" i="1"/>
  <c r="L35" i="1" s="1"/>
  <c r="N35" i="1" s="1"/>
  <c r="L32" i="1"/>
  <c r="N32" i="1" s="1"/>
  <c r="R39" i="1"/>
  <c r="L42" i="1" s="1"/>
  <c r="N42" i="1" s="1"/>
  <c r="Q22" i="1"/>
  <c r="R40" i="1"/>
  <c r="L43" i="1" s="1"/>
  <c r="N43" i="1" s="1"/>
  <c r="Q25" i="1"/>
  <c r="Q21" i="1"/>
  <c r="M21" i="1"/>
  <c r="R38" i="1"/>
  <c r="L41" i="1" s="1"/>
  <c r="N41" i="1" s="1"/>
  <c r="R23" i="1"/>
  <c r="K43" i="1"/>
  <c r="M43" i="1" s="1"/>
  <c r="K35" i="1"/>
  <c r="M35" i="1" s="1"/>
  <c r="K33" i="1"/>
  <c r="M33" i="1" s="1"/>
  <c r="K41" i="1"/>
  <c r="M41" i="1" s="1"/>
  <c r="K34" i="1"/>
  <c r="M34" i="1" s="1"/>
  <c r="K32" i="1"/>
  <c r="Q41" i="1"/>
  <c r="K37" i="1"/>
  <c r="M37" i="1" s="1"/>
  <c r="Q39" i="1"/>
  <c r="K42" i="1" s="1"/>
  <c r="M42" i="1" s="1"/>
  <c r="K40" i="1"/>
  <c r="M40" i="1" s="1"/>
  <c r="K38" i="1"/>
  <c r="M38" i="1" s="1"/>
  <c r="Q27" i="1"/>
  <c r="K36" i="1"/>
  <c r="M36" i="1" s="1"/>
  <c r="L23" i="1" l="1"/>
  <c r="O20" i="1"/>
  <c r="K23" i="1"/>
  <c r="M20" i="1"/>
  <c r="N23" i="1"/>
  <c r="N21" i="1"/>
  <c r="N22" i="1"/>
  <c r="M22" i="1"/>
  <c r="K24" i="1" l="1"/>
  <c r="O21" i="1"/>
  <c r="L24" i="1"/>
  <c r="N24" i="1" s="1"/>
  <c r="M23" i="1"/>
  <c r="L25" i="1" l="1"/>
  <c r="N25" i="1" s="1"/>
  <c r="O22" i="1"/>
  <c r="O23" i="1" s="1"/>
  <c r="K25" i="1"/>
  <c r="K26" i="1"/>
  <c r="M24" i="1"/>
  <c r="O24" i="1" l="1"/>
  <c r="K27" i="1"/>
  <c r="L26" i="1"/>
  <c r="N26" i="1" s="1"/>
  <c r="M25" i="1"/>
  <c r="L28" i="1" l="1"/>
  <c r="L27" i="1"/>
  <c r="N27" i="1" s="1"/>
  <c r="M26" i="1"/>
  <c r="L29" i="1" l="1"/>
  <c r="N28" i="1"/>
  <c r="M27" i="1"/>
  <c r="L30" i="1" l="1"/>
  <c r="N29" i="1"/>
  <c r="L34" i="1"/>
  <c r="N34" i="1" s="1"/>
  <c r="M28" i="1"/>
  <c r="N30" i="1" l="1"/>
  <c r="K30" i="1"/>
  <c r="M29" i="1"/>
  <c r="L33" i="1" l="1"/>
  <c r="N33" i="1" s="1"/>
  <c r="N31" i="1"/>
  <c r="M30" i="1"/>
  <c r="M31" i="1" l="1"/>
  <c r="M32" i="1"/>
</calcChain>
</file>

<file path=xl/sharedStrings.xml><?xml version="1.0" encoding="utf-8"?>
<sst xmlns="http://schemas.openxmlformats.org/spreadsheetml/2006/main" count="57" uniqueCount="32">
  <si>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</si>
  <si>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</si>
  <si>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</si>
  <si>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</si>
  <si>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</si>
  <si>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</si>
  <si>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</si>
  <si>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</si>
  <si>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</si>
  <si>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</si>
  <si>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</si>
  <si>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</si>
  <si>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Prognozētais balansēšanas rezeervju izmaksu apjoms, EUR</t>
  </si>
  <si>
    <t>Faktiskais balansēšanas rezervju izmaksu apjoms, EUR</t>
  </si>
  <si>
    <t>Prognozētā portfeļa (patēriņa) cena, EUR/MWh</t>
  </si>
  <si>
    <t>Prognozētais portfeļa (patēriņa) apmērs, MWh</t>
  </si>
  <si>
    <t>Faktiskais portfeļa ampērs</t>
  </si>
  <si>
    <t>Prognozētais nebalansa apmērs, MWh</t>
  </si>
  <si>
    <t>Prognozētā nebalansa cena, EUR/MWh</t>
  </si>
  <si>
    <t>Atgūtā portfeļa komponentes daļa</t>
  </si>
  <si>
    <t>Atgūtā nebalansa komponentes daļa</t>
  </si>
  <si>
    <t>Piemērotā portfeļa (patēriņa) cena BRP, EUR/MWh</t>
  </si>
  <si>
    <t>Uzkrātais 2025.gada apjoms portfelim</t>
  </si>
  <si>
    <t>Uzkrātais 2025.gada apjoms nebalansam</t>
  </si>
  <si>
    <t>Ikmēneša korekcija portfelis</t>
  </si>
  <si>
    <t>Ikmēneša korekcija nebalanss</t>
  </si>
  <si>
    <t>Faktiskais nebalansa ampērs</t>
  </si>
  <si>
    <t>Visi skaitļi uz portfeļa apmēru, nebalansa apmēru un cenām ir ilustratīvi un ir izdomāti</t>
  </si>
  <si>
    <t>Prognozes brīdī aktuālā 2025.gada uzkrātā novirze tiek dalīta proporcionāli atklikušajiem 2026.gada mēnešiem</t>
  </si>
  <si>
    <t xml:space="preserve">Prognoze veikta 2 mēnešus pirms piegādes mēneša, piemēram 2025.gada jūlija prognoze iegūta Aprīlī </t>
  </si>
  <si>
    <t>O un P kolonnā uzkrāto 2025.gada nobīdi jau sāk izmantot cenu noteikšanā 2025.gada oktobrī izmantojot tajā brīdī zināmo uzkrājumu līdz 2025.gada septembrim un nosakot papildinājumu 2026.gada pamata cenai</t>
  </si>
  <si>
    <t>Q un R kolonnā aktuālo nobīdi sāk izmantot cenu noteikšanā 2026.gada februārī izmantojot tajā brīdī zināmo novirzi par 2026.gada janvāri veidojot gala cenu 2026.gada maijam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</si>
</sst>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b/>
      <sz val="11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1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D393-9232-4424-ABA3-4CE48D7C8686}">
  <dimension ref="A1:R43"/>
  <sheetViews>
    <sheetView tabSelected="1" workbookViewId="0">
      <selection activeCell="A6" sqref="A6"/>
    </sheetView>
  </sheetViews>
  <sheetFormatPr defaultRowHeight="15" x14ac:dyDescent="0.25"/>
  <cols>
    <col min="3" max="7" width="21.7109375" customWidth="1"/>
    <col min="8" max="8" width="22" customWidth="1"/>
    <col min="9" max="10" width="15.42578125" customWidth="1"/>
    <col min="11" max="18" width="13.85546875" customWidth="1"/>
  </cols>
  <sheetData>
    <row r="1" spans="1:18" ht="15.75" x14ac:dyDescent="0.25">
      <c r="A1" s="5" t="s">
        <v>27</v>
      </c>
    </row>
    <row r="2" spans="1:18" x14ac:dyDescent="0.25">
      <c r="A2" s="4" t="s">
        <v>30</v>
      </c>
    </row>
    <row r="3" spans="1:18" x14ac:dyDescent="0.25">
      <c r="A3" s="4" t="s">
        <v>28</v>
      </c>
    </row>
    <row r="4" spans="1:18" x14ac:dyDescent="0.25">
      <c r="A4" s="4" t="s">
        <v>31</v>
      </c>
    </row>
    <row r="5" spans="1:18" x14ac:dyDescent="0.25">
      <c r="A5" s="4"/>
    </row>
    <row r="6" spans="1:18" ht="57" customHeight="1" x14ac:dyDescent="0.25">
      <c r="E6" s="8" t="s">
        <v>29</v>
      </c>
      <c r="F6" s="8"/>
    </row>
    <row r="7" spans="1:18" ht="75" x14ac:dyDescent="0.25">
      <c r="C7" s="1" t="s">
        <v>12</v>
      </c>
      <c r="D7" s="1" t="s">
        <v>15</v>
      </c>
      <c r="E7" s="1" t="s">
        <v>14</v>
      </c>
      <c r="F7" s="1" t="s">
        <v>17</v>
      </c>
      <c r="G7" s="1" t="s">
        <v>18</v>
      </c>
      <c r="H7" s="1" t="s">
        <v>13</v>
      </c>
      <c r="I7" s="1" t="s">
        <v>16</v>
      </c>
      <c r="J7" s="1" t="s">
        <v>26</v>
      </c>
      <c r="K7" s="6" t="s">
        <v>21</v>
      </c>
      <c r="L7" s="6" t="s">
        <v>21</v>
      </c>
      <c r="M7" s="1" t="s">
        <v>19</v>
      </c>
      <c r="N7" s="1" t="s">
        <v>20</v>
      </c>
      <c r="O7" s="1" t="s">
        <v>22</v>
      </c>
      <c r="P7" s="1" t="s">
        <v>23</v>
      </c>
      <c r="Q7" s="1" t="s">
        <v>24</v>
      </c>
      <c r="R7" s="1" t="s">
        <v>25</v>
      </c>
    </row>
    <row r="8" spans="1:18" x14ac:dyDescent="0.25">
      <c r="A8" s="7">
        <v>2025</v>
      </c>
      <c r="B8" t="s">
        <v>0</v>
      </c>
    </row>
    <row r="9" spans="1:18" x14ac:dyDescent="0.25">
      <c r="A9" s="7"/>
      <c r="B9" t="s">
        <v>1</v>
      </c>
      <c r="C9">
        <v>3770000</v>
      </c>
      <c r="D9">
        <v>608000</v>
      </c>
      <c r="E9" s="2">
        <f>ROUND(C9/D9/2,2)</f>
        <v>3.1</v>
      </c>
      <c r="F9">
        <v>42700</v>
      </c>
      <c r="G9">
        <f>ROUND(C9/2/F9,2)</f>
        <v>44.15</v>
      </c>
      <c r="H9">
        <v>3810000</v>
      </c>
      <c r="I9">
        <v>599000</v>
      </c>
      <c r="J9">
        <v>40200</v>
      </c>
      <c r="K9">
        <v>0</v>
      </c>
      <c r="L9">
        <v>0</v>
      </c>
      <c r="M9">
        <f>I9*K9</f>
        <v>0</v>
      </c>
      <c r="N9">
        <f>J9*L9</f>
        <v>0</v>
      </c>
    </row>
    <row r="10" spans="1:18" x14ac:dyDescent="0.25">
      <c r="A10" s="7"/>
      <c r="B10" t="s">
        <v>2</v>
      </c>
      <c r="C10">
        <v>3760000</v>
      </c>
      <c r="D10">
        <v>654000</v>
      </c>
      <c r="E10" s="2">
        <f t="shared" ref="E10:E43" si="0">ROUND(C10/D10/2,2)</f>
        <v>2.87</v>
      </c>
      <c r="F10">
        <v>46300</v>
      </c>
      <c r="G10">
        <f t="shared" ref="G10:G43" si="1">ROUND(C10/2/F10,2)</f>
        <v>40.6</v>
      </c>
      <c r="H10">
        <v>3350000</v>
      </c>
      <c r="I10">
        <v>649000</v>
      </c>
      <c r="J10">
        <v>46600</v>
      </c>
      <c r="K10">
        <v>0</v>
      </c>
      <c r="L10">
        <v>0</v>
      </c>
      <c r="M10">
        <f t="shared" ref="M10:M43" si="2">I10*K10</f>
        <v>0</v>
      </c>
      <c r="N10">
        <f t="shared" ref="N10:N43" si="3">J10*L10</f>
        <v>0</v>
      </c>
    </row>
    <row r="11" spans="1:18" x14ac:dyDescent="0.25">
      <c r="A11" s="7"/>
      <c r="B11" t="s">
        <v>3</v>
      </c>
      <c r="C11">
        <v>3480000</v>
      </c>
      <c r="D11">
        <v>584000</v>
      </c>
      <c r="E11" s="2">
        <f>ROUND(C11/D11/2,2)</f>
        <v>2.98</v>
      </c>
      <c r="F11">
        <v>41000</v>
      </c>
      <c r="G11">
        <f t="shared" si="1"/>
        <v>42.44</v>
      </c>
      <c r="H11">
        <v>3640000</v>
      </c>
      <c r="I11">
        <v>584000</v>
      </c>
      <c r="J11">
        <v>41700</v>
      </c>
      <c r="K11">
        <v>0</v>
      </c>
      <c r="L11">
        <v>0</v>
      </c>
      <c r="M11">
        <f t="shared" si="2"/>
        <v>0</v>
      </c>
      <c r="N11">
        <f t="shared" si="3"/>
        <v>0</v>
      </c>
    </row>
    <row r="12" spans="1:18" x14ac:dyDescent="0.25">
      <c r="A12" s="7"/>
      <c r="B12" t="s">
        <v>4</v>
      </c>
      <c r="C12">
        <v>3470000</v>
      </c>
      <c r="D12">
        <v>573000</v>
      </c>
      <c r="E12" s="2">
        <f t="shared" si="0"/>
        <v>3.03</v>
      </c>
      <c r="F12">
        <v>46000</v>
      </c>
      <c r="G12">
        <f t="shared" si="1"/>
        <v>37.72</v>
      </c>
      <c r="H12">
        <v>3440000</v>
      </c>
      <c r="I12">
        <v>582000</v>
      </c>
      <c r="J12">
        <v>43900</v>
      </c>
      <c r="K12">
        <v>0</v>
      </c>
      <c r="L12">
        <v>0</v>
      </c>
      <c r="M12">
        <f t="shared" si="2"/>
        <v>0</v>
      </c>
      <c r="N12">
        <f t="shared" si="3"/>
        <v>0</v>
      </c>
    </row>
    <row r="13" spans="1:18" x14ac:dyDescent="0.25">
      <c r="A13" s="7"/>
      <c r="B13" t="s">
        <v>5</v>
      </c>
      <c r="C13">
        <v>3460000</v>
      </c>
      <c r="D13">
        <v>541000</v>
      </c>
      <c r="E13" s="2">
        <f t="shared" si="0"/>
        <v>3.2</v>
      </c>
      <c r="F13">
        <v>46900</v>
      </c>
      <c r="G13">
        <f t="shared" si="1"/>
        <v>36.89</v>
      </c>
      <c r="H13">
        <v>3740000</v>
      </c>
      <c r="I13">
        <v>536000</v>
      </c>
      <c r="J13">
        <v>41800</v>
      </c>
      <c r="K13">
        <v>0</v>
      </c>
      <c r="L13">
        <v>0</v>
      </c>
      <c r="M13">
        <f t="shared" si="2"/>
        <v>0</v>
      </c>
      <c r="N13">
        <f t="shared" si="3"/>
        <v>0</v>
      </c>
    </row>
    <row r="14" spans="1:18" x14ac:dyDescent="0.25">
      <c r="A14" s="7"/>
      <c r="B14" t="s">
        <v>6</v>
      </c>
      <c r="C14">
        <v>3400000</v>
      </c>
      <c r="D14">
        <v>548000</v>
      </c>
      <c r="E14" s="2">
        <f t="shared" si="0"/>
        <v>3.1</v>
      </c>
      <c r="F14">
        <v>43700</v>
      </c>
      <c r="G14">
        <f t="shared" si="1"/>
        <v>38.9</v>
      </c>
      <c r="H14">
        <v>3560000</v>
      </c>
      <c r="I14">
        <v>532000</v>
      </c>
      <c r="J14">
        <v>46300</v>
      </c>
      <c r="K14">
        <v>3</v>
      </c>
      <c r="L14">
        <v>40</v>
      </c>
      <c r="M14">
        <f>I14*K14</f>
        <v>1596000</v>
      </c>
      <c r="N14">
        <f t="shared" si="3"/>
        <v>1852000</v>
      </c>
      <c r="O14">
        <f>H14/2-M14</f>
        <v>184000</v>
      </c>
      <c r="P14">
        <f>H14/2-N14</f>
        <v>-72000</v>
      </c>
    </row>
    <row r="15" spans="1:18" x14ac:dyDescent="0.25">
      <c r="A15" s="7"/>
      <c r="B15" t="s">
        <v>7</v>
      </c>
      <c r="C15">
        <v>3620000</v>
      </c>
      <c r="D15">
        <v>575000</v>
      </c>
      <c r="E15" s="2">
        <f t="shared" si="0"/>
        <v>3.15</v>
      </c>
      <c r="F15">
        <v>40700</v>
      </c>
      <c r="G15">
        <f t="shared" si="1"/>
        <v>44.47</v>
      </c>
      <c r="H15">
        <v>3620000</v>
      </c>
      <c r="I15">
        <v>570000</v>
      </c>
      <c r="J15">
        <v>41000</v>
      </c>
      <c r="K15">
        <v>3</v>
      </c>
      <c r="L15">
        <v>40</v>
      </c>
      <c r="M15">
        <f t="shared" si="2"/>
        <v>1710000</v>
      </c>
      <c r="N15">
        <f t="shared" si="3"/>
        <v>1640000</v>
      </c>
      <c r="O15">
        <f>O14+H15/2-M15</f>
        <v>284000</v>
      </c>
      <c r="P15">
        <f>P14+H15/2-N15</f>
        <v>98000</v>
      </c>
    </row>
    <row r="16" spans="1:18" x14ac:dyDescent="0.25">
      <c r="A16" s="7"/>
      <c r="B16" t="s">
        <v>8</v>
      </c>
      <c r="C16">
        <v>3600000</v>
      </c>
      <c r="D16">
        <v>536000</v>
      </c>
      <c r="E16" s="2">
        <f t="shared" si="0"/>
        <v>3.36</v>
      </c>
      <c r="F16">
        <v>47900</v>
      </c>
      <c r="G16">
        <f t="shared" si="1"/>
        <v>37.58</v>
      </c>
      <c r="H16">
        <v>3350000</v>
      </c>
      <c r="I16">
        <v>538000</v>
      </c>
      <c r="J16">
        <v>42000</v>
      </c>
      <c r="K16">
        <v>3</v>
      </c>
      <c r="L16">
        <v>40</v>
      </c>
      <c r="M16">
        <f t="shared" si="2"/>
        <v>1614000</v>
      </c>
      <c r="N16">
        <f t="shared" si="3"/>
        <v>1680000</v>
      </c>
      <c r="O16">
        <f>O15+H16/2-M16</f>
        <v>345000</v>
      </c>
      <c r="P16">
        <f t="shared" ref="P16:P18" si="4">P15+H16/2-N16</f>
        <v>93000</v>
      </c>
    </row>
    <row r="17" spans="1:18" x14ac:dyDescent="0.25">
      <c r="A17" s="7"/>
      <c r="B17" t="s">
        <v>9</v>
      </c>
      <c r="C17">
        <v>3500000</v>
      </c>
      <c r="D17">
        <v>575000</v>
      </c>
      <c r="E17" s="2">
        <f t="shared" si="0"/>
        <v>3.04</v>
      </c>
      <c r="F17">
        <v>47500</v>
      </c>
      <c r="G17">
        <f t="shared" si="1"/>
        <v>36.840000000000003</v>
      </c>
      <c r="H17">
        <v>3820000</v>
      </c>
      <c r="I17">
        <v>576000</v>
      </c>
      <c r="J17">
        <v>46200</v>
      </c>
      <c r="K17">
        <v>3</v>
      </c>
      <c r="L17">
        <v>40</v>
      </c>
      <c r="M17">
        <f t="shared" si="2"/>
        <v>1728000</v>
      </c>
      <c r="N17">
        <f t="shared" si="3"/>
        <v>1848000</v>
      </c>
      <c r="O17">
        <f>O16+H17/2-M17</f>
        <v>527000</v>
      </c>
      <c r="P17">
        <f t="shared" si="4"/>
        <v>155000</v>
      </c>
    </row>
    <row r="18" spans="1:18" x14ac:dyDescent="0.25">
      <c r="A18" s="7"/>
      <c r="B18" t="s">
        <v>10</v>
      </c>
      <c r="C18">
        <v>3370000</v>
      </c>
      <c r="D18">
        <v>598000</v>
      </c>
      <c r="E18" s="2">
        <f t="shared" si="0"/>
        <v>2.82</v>
      </c>
      <c r="F18">
        <v>47500</v>
      </c>
      <c r="G18">
        <f t="shared" si="1"/>
        <v>35.47</v>
      </c>
      <c r="H18">
        <v>3550000</v>
      </c>
      <c r="I18">
        <v>610000</v>
      </c>
      <c r="J18">
        <v>45200</v>
      </c>
      <c r="K18">
        <v>3</v>
      </c>
      <c r="L18">
        <v>40</v>
      </c>
      <c r="M18">
        <f t="shared" si="2"/>
        <v>1830000</v>
      </c>
      <c r="N18">
        <f t="shared" si="3"/>
        <v>1808000</v>
      </c>
      <c r="O18">
        <f t="shared" ref="O18" si="5">O17+H18/2-M18</f>
        <v>472000</v>
      </c>
      <c r="P18">
        <f t="shared" si="4"/>
        <v>122000</v>
      </c>
    </row>
    <row r="19" spans="1:18" x14ac:dyDescent="0.25">
      <c r="A19" s="7"/>
      <c r="B19" t="s">
        <v>11</v>
      </c>
      <c r="C19">
        <v>3530000</v>
      </c>
      <c r="D19">
        <v>661000</v>
      </c>
      <c r="E19" s="2">
        <f t="shared" si="0"/>
        <v>2.67</v>
      </c>
      <c r="F19">
        <v>40200</v>
      </c>
      <c r="G19">
        <f t="shared" si="1"/>
        <v>43.91</v>
      </c>
      <c r="H19">
        <v>3800000</v>
      </c>
      <c r="I19">
        <v>668000</v>
      </c>
      <c r="J19">
        <v>42100</v>
      </c>
      <c r="K19">
        <v>3</v>
      </c>
      <c r="L19">
        <v>40</v>
      </c>
      <c r="M19">
        <f t="shared" si="2"/>
        <v>2004000</v>
      </c>
      <c r="N19">
        <f t="shared" si="3"/>
        <v>1684000</v>
      </c>
      <c r="O19">
        <f>O18+H19/2-M19</f>
        <v>368000</v>
      </c>
      <c r="P19">
        <f>P18+H19/2-N19</f>
        <v>338000</v>
      </c>
    </row>
    <row r="20" spans="1:18" x14ac:dyDescent="0.25">
      <c r="A20" s="7">
        <v>2026</v>
      </c>
      <c r="B20" t="s">
        <v>0</v>
      </c>
      <c r="C20">
        <v>3590000</v>
      </c>
      <c r="D20">
        <v>645000</v>
      </c>
      <c r="E20" s="2">
        <f t="shared" si="0"/>
        <v>2.78</v>
      </c>
      <c r="F20">
        <v>46600</v>
      </c>
      <c r="G20">
        <f t="shared" si="1"/>
        <v>38.520000000000003</v>
      </c>
      <c r="H20">
        <v>3500000</v>
      </c>
      <c r="I20">
        <v>631000</v>
      </c>
      <c r="J20">
        <v>43900</v>
      </c>
      <c r="K20" s="2">
        <f>ROUND(E20+O16/12/D20,2)</f>
        <v>2.82</v>
      </c>
      <c r="L20">
        <f>ROUND(G20+R16/F20+P16/12/F20,2)</f>
        <v>38.69</v>
      </c>
      <c r="M20">
        <f>I20*K20</f>
        <v>1779420</v>
      </c>
      <c r="N20">
        <f t="shared" si="3"/>
        <v>1698491</v>
      </c>
      <c r="O20" s="3">
        <f>O19-ROUND(O16/12/D20,2)*I20</f>
        <v>342760</v>
      </c>
      <c r="P20" s="3">
        <f>P19-ROUND(P17/12/F20,2)*J20</f>
        <v>325708</v>
      </c>
      <c r="Q20">
        <f>H20/2-I20*E20</f>
        <v>-4179.9999999997672</v>
      </c>
      <c r="R20">
        <f>H20/2-J20*G20</f>
        <v>58971.999999999767</v>
      </c>
    </row>
    <row r="21" spans="1:18" x14ac:dyDescent="0.25">
      <c r="A21" s="7"/>
      <c r="B21" t="s">
        <v>1</v>
      </c>
      <c r="C21">
        <v>3480000</v>
      </c>
      <c r="D21">
        <v>587000</v>
      </c>
      <c r="E21" s="2">
        <f t="shared" si="0"/>
        <v>2.96</v>
      </c>
      <c r="F21">
        <v>41000</v>
      </c>
      <c r="G21">
        <f t="shared" si="1"/>
        <v>42.44</v>
      </c>
      <c r="H21">
        <v>3730000</v>
      </c>
      <c r="I21">
        <v>574000</v>
      </c>
      <c r="J21">
        <v>42000</v>
      </c>
      <c r="K21" s="2">
        <f>ROUND(E21+O17/11/D21,2)</f>
        <v>3.04</v>
      </c>
      <c r="L21">
        <f>ROUND(G21+R17/F21+P17/11/F21,2)</f>
        <v>42.78</v>
      </c>
      <c r="M21">
        <f t="shared" si="2"/>
        <v>1744960</v>
      </c>
      <c r="N21">
        <f t="shared" si="3"/>
        <v>1796760</v>
      </c>
      <c r="O21" s="3">
        <f>O20-ROUND(O17/11/D21,2)*I21</f>
        <v>296840</v>
      </c>
      <c r="P21" s="3">
        <f>P20-ROUND(P18/11/F21,2)*J21</f>
        <v>314368</v>
      </c>
      <c r="Q21">
        <f t="shared" ref="Q21:Q30" si="6">H21/2-I21*E21</f>
        <v>165960</v>
      </c>
      <c r="R21">
        <f t="shared" ref="R21:R29" si="7">H21/2-J21*G21</f>
        <v>82520</v>
      </c>
    </row>
    <row r="22" spans="1:18" x14ac:dyDescent="0.25">
      <c r="A22" s="7"/>
      <c r="B22" t="s">
        <v>2</v>
      </c>
      <c r="C22">
        <v>3800000</v>
      </c>
      <c r="D22">
        <v>625000</v>
      </c>
      <c r="E22" s="2">
        <f t="shared" si="0"/>
        <v>3.04</v>
      </c>
      <c r="F22">
        <v>46000</v>
      </c>
      <c r="G22">
        <f t="shared" si="1"/>
        <v>41.3</v>
      </c>
      <c r="H22">
        <v>3550000</v>
      </c>
      <c r="I22">
        <v>621000</v>
      </c>
      <c r="J22">
        <v>42500</v>
      </c>
      <c r="K22" s="2">
        <f>ROUND(E22+O18/10/D22,2)</f>
        <v>3.12</v>
      </c>
      <c r="L22">
        <f>ROUND(G22+R18/F22+P18/10/F22,2)</f>
        <v>41.57</v>
      </c>
      <c r="M22">
        <f t="shared" si="2"/>
        <v>1937520</v>
      </c>
      <c r="N22">
        <f t="shared" si="3"/>
        <v>1766725</v>
      </c>
      <c r="O22" s="3">
        <f>O21-ROUND(O18/10/D22,2)*I22</f>
        <v>247160</v>
      </c>
      <c r="P22" s="3">
        <f>P21-ROUND(P19/10/F22,2)*J22</f>
        <v>283343</v>
      </c>
      <c r="Q22">
        <f t="shared" si="6"/>
        <v>-112840</v>
      </c>
      <c r="R22">
        <f t="shared" si="7"/>
        <v>19750.000000000233</v>
      </c>
    </row>
    <row r="23" spans="1:18" x14ac:dyDescent="0.25">
      <c r="A23" s="7"/>
      <c r="B23" t="s">
        <v>3</v>
      </c>
      <c r="C23">
        <v>3430000</v>
      </c>
      <c r="D23">
        <v>545000</v>
      </c>
      <c r="E23" s="2">
        <f t="shared" si="0"/>
        <v>3.15</v>
      </c>
      <c r="F23">
        <v>43300</v>
      </c>
      <c r="G23">
        <f t="shared" si="1"/>
        <v>39.61</v>
      </c>
      <c r="H23">
        <v>3750000</v>
      </c>
      <c r="I23">
        <v>557000</v>
      </c>
      <c r="J23">
        <v>43500</v>
      </c>
      <c r="K23" s="2">
        <f>ROUND(E23+O19/9/D23,2)</f>
        <v>3.23</v>
      </c>
      <c r="L23">
        <f>ROUND(G23+R19/F23+P19/9/F23,2)</f>
        <v>40.479999999999997</v>
      </c>
      <c r="M23">
        <f t="shared" si="2"/>
        <v>1799110</v>
      </c>
      <c r="N23">
        <f t="shared" si="3"/>
        <v>1760879.9999999998</v>
      </c>
      <c r="O23" s="3">
        <f>O22-ROUND(O19/9/D23,2)*I23</f>
        <v>202600</v>
      </c>
      <c r="P23" s="3">
        <f>P22-ROUND(P20/9/F23,2)*J23</f>
        <v>246803</v>
      </c>
      <c r="Q23">
        <f t="shared" si="6"/>
        <v>120450</v>
      </c>
      <c r="R23">
        <f t="shared" si="7"/>
        <v>151965</v>
      </c>
    </row>
    <row r="24" spans="1:18" x14ac:dyDescent="0.25">
      <c r="A24" s="7"/>
      <c r="B24" t="s">
        <v>4</v>
      </c>
      <c r="C24">
        <v>3450000</v>
      </c>
      <c r="D24">
        <v>532000</v>
      </c>
      <c r="E24" s="2">
        <f t="shared" si="0"/>
        <v>3.24</v>
      </c>
      <c r="F24">
        <v>44900</v>
      </c>
      <c r="G24">
        <f t="shared" si="1"/>
        <v>38.42</v>
      </c>
      <c r="H24">
        <v>3490000</v>
      </c>
      <c r="I24">
        <v>543000</v>
      </c>
      <c r="J24">
        <v>40400</v>
      </c>
      <c r="K24" s="2">
        <f>ROUND(E24+O20/8/D24+Q20/D24,2)</f>
        <v>3.31</v>
      </c>
      <c r="L24">
        <f>ROUND(G24+R20/F24+P20/8/F24,2)</f>
        <v>40.64</v>
      </c>
      <c r="M24">
        <f t="shared" si="2"/>
        <v>1797330</v>
      </c>
      <c r="N24">
        <f t="shared" si="3"/>
        <v>1641856</v>
      </c>
      <c r="O24" s="3">
        <f>O23-ROUND(O20/8/D24,2)*I24</f>
        <v>159160</v>
      </c>
      <c r="P24" s="3">
        <f>P23-ROUND(P21/8/F24,2)*J24</f>
        <v>211251</v>
      </c>
      <c r="Q24">
        <f t="shared" si="6"/>
        <v>-14320</v>
      </c>
      <c r="R24">
        <f t="shared" si="7"/>
        <v>192832</v>
      </c>
    </row>
    <row r="25" spans="1:18" x14ac:dyDescent="0.25">
      <c r="A25" s="7"/>
      <c r="B25" t="s">
        <v>5</v>
      </c>
      <c r="C25">
        <v>3620000</v>
      </c>
      <c r="D25">
        <v>507000</v>
      </c>
      <c r="E25" s="2">
        <f t="shared" si="0"/>
        <v>3.57</v>
      </c>
      <c r="F25">
        <v>45300</v>
      </c>
      <c r="G25">
        <f t="shared" si="1"/>
        <v>39.96</v>
      </c>
      <c r="H25">
        <v>3640000</v>
      </c>
      <c r="I25">
        <v>508000</v>
      </c>
      <c r="J25">
        <v>47100</v>
      </c>
      <c r="K25" s="2">
        <f>ROUND(E25+O21/7/D25+Q21/D25,2)</f>
        <v>3.98</v>
      </c>
      <c r="L25">
        <f>ROUND(G25+R21/F25+P21/7/F25,2)</f>
        <v>42.77</v>
      </c>
      <c r="M25">
        <f t="shared" si="2"/>
        <v>2021840</v>
      </c>
      <c r="N25">
        <f t="shared" si="3"/>
        <v>2014467.0000000002</v>
      </c>
      <c r="O25" s="3">
        <f>O24-ROUND(O21/7/D25,2)*I25</f>
        <v>118520</v>
      </c>
      <c r="P25" s="3">
        <f>P24-ROUND(P22/7/F25,2)*J25</f>
        <v>169332</v>
      </c>
      <c r="Q25">
        <f t="shared" si="6"/>
        <v>6440</v>
      </c>
      <c r="R25">
        <f t="shared" si="7"/>
        <v>-62116</v>
      </c>
    </row>
    <row r="26" spans="1:18" x14ac:dyDescent="0.25">
      <c r="A26" s="7"/>
      <c r="B26" t="s">
        <v>6</v>
      </c>
      <c r="C26">
        <v>3490000</v>
      </c>
      <c r="D26">
        <v>512000</v>
      </c>
      <c r="E26" s="2">
        <f t="shared" si="0"/>
        <v>3.41</v>
      </c>
      <c r="F26">
        <v>42600</v>
      </c>
      <c r="G26">
        <f t="shared" si="1"/>
        <v>40.96</v>
      </c>
      <c r="H26">
        <v>3380000</v>
      </c>
      <c r="I26">
        <v>526000</v>
      </c>
      <c r="J26">
        <v>40400</v>
      </c>
      <c r="K26" s="2">
        <f>ROUND(E26+O22/6/D26+Q22/D26,2)</f>
        <v>3.27</v>
      </c>
      <c r="L26">
        <f>ROUND(G26+R22/F26+P22/6/F26,2)</f>
        <v>42.53</v>
      </c>
      <c r="M26">
        <f t="shared" si="2"/>
        <v>1720020</v>
      </c>
      <c r="N26">
        <f t="shared" si="3"/>
        <v>1718212</v>
      </c>
      <c r="O26" s="3">
        <f>O25-ROUND(O22/6/D26,2)*I26</f>
        <v>76440</v>
      </c>
      <c r="P26" s="3">
        <f>P25-ROUND(P23/6/F26,2)*J26</f>
        <v>130144</v>
      </c>
      <c r="Q26">
        <f>H26/2-I26*E26</f>
        <v>-103660</v>
      </c>
      <c r="R26">
        <f t="shared" si="7"/>
        <v>35216</v>
      </c>
    </row>
    <row r="27" spans="1:18" x14ac:dyDescent="0.25">
      <c r="A27" s="7"/>
      <c r="B27" t="s">
        <v>7</v>
      </c>
      <c r="C27">
        <v>3430000</v>
      </c>
      <c r="D27">
        <v>548000</v>
      </c>
      <c r="E27" s="2">
        <f t="shared" si="0"/>
        <v>3.13</v>
      </c>
      <c r="F27">
        <v>46100</v>
      </c>
      <c r="G27">
        <f t="shared" si="1"/>
        <v>37.200000000000003</v>
      </c>
      <c r="H27">
        <v>3820000</v>
      </c>
      <c r="I27">
        <v>552000</v>
      </c>
      <c r="J27">
        <v>40400</v>
      </c>
      <c r="K27" s="2">
        <f>ROUND(E27+O23/5/D27+Q23/D27,2)</f>
        <v>3.42</v>
      </c>
      <c r="L27">
        <f>ROUND(G27+R23/F27+P23/5/F27,2)</f>
        <v>41.57</v>
      </c>
      <c r="M27">
        <f t="shared" si="2"/>
        <v>1887840</v>
      </c>
      <c r="N27">
        <f t="shared" si="3"/>
        <v>1679428</v>
      </c>
      <c r="O27" s="3">
        <f>O26-ROUND(O23/5/D27,2)*I27</f>
        <v>37799.999999999993</v>
      </c>
      <c r="P27" s="3">
        <f>P26-ROUND(P24/5/F27,2)*J27</f>
        <v>92976</v>
      </c>
      <c r="Q27">
        <f t="shared" si="6"/>
        <v>182240</v>
      </c>
      <c r="R27">
        <f t="shared" si="7"/>
        <v>407120</v>
      </c>
    </row>
    <row r="28" spans="1:18" x14ac:dyDescent="0.25">
      <c r="A28" s="7"/>
      <c r="B28" t="s">
        <v>8</v>
      </c>
      <c r="C28">
        <v>3760000</v>
      </c>
      <c r="D28">
        <v>524000</v>
      </c>
      <c r="E28" s="2">
        <f t="shared" si="0"/>
        <v>3.59</v>
      </c>
      <c r="F28">
        <v>40700</v>
      </c>
      <c r="G28">
        <f t="shared" si="1"/>
        <v>46.19</v>
      </c>
      <c r="H28">
        <v>3460000</v>
      </c>
      <c r="I28">
        <v>533000</v>
      </c>
      <c r="J28">
        <v>43900</v>
      </c>
      <c r="K28" s="2">
        <f>ROUND(E28+O24/4/D28+Q24/D28,2)</f>
        <v>3.64</v>
      </c>
      <c r="L28">
        <f>ROUND(G28+R24/F28+P24/4/F28,2)</f>
        <v>52.23</v>
      </c>
      <c r="M28">
        <f t="shared" si="2"/>
        <v>1940120</v>
      </c>
      <c r="N28">
        <f t="shared" si="3"/>
        <v>2292897</v>
      </c>
      <c r="O28" s="3">
        <f>O27-ROUND(O24/4/D28,2)*I28</f>
        <v>-4840.0000000000073</v>
      </c>
      <c r="P28" s="3">
        <f>P27-ROUND(P25/4/F28,2)*J28</f>
        <v>47320</v>
      </c>
      <c r="Q28">
        <f>O28+H28/2-I28*E28</f>
        <v>-188310</v>
      </c>
      <c r="R28">
        <f t="shared" si="7"/>
        <v>-297741</v>
      </c>
    </row>
    <row r="29" spans="1:18" x14ac:dyDescent="0.25">
      <c r="A29" s="7"/>
      <c r="B29" t="s">
        <v>9</v>
      </c>
      <c r="C29">
        <v>3560000</v>
      </c>
      <c r="D29">
        <v>592000</v>
      </c>
      <c r="E29" s="2">
        <f t="shared" si="0"/>
        <v>3.01</v>
      </c>
      <c r="F29">
        <v>46600</v>
      </c>
      <c r="G29">
        <f t="shared" si="1"/>
        <v>38.200000000000003</v>
      </c>
      <c r="H29">
        <v>3790000</v>
      </c>
      <c r="I29">
        <v>580000</v>
      </c>
      <c r="J29">
        <v>40900</v>
      </c>
      <c r="K29" s="2">
        <f>ROUND(E29+Q25/D29,2)</f>
        <v>3.02</v>
      </c>
      <c r="L29">
        <f>ROUND(G29+R25/F29+P25/3/F29,2)</f>
        <v>38.08</v>
      </c>
      <c r="M29">
        <f t="shared" si="2"/>
        <v>1751600</v>
      </c>
      <c r="N29">
        <f t="shared" si="3"/>
        <v>1557472</v>
      </c>
      <c r="O29" s="3">
        <v>0</v>
      </c>
      <c r="P29" s="3">
        <f>P28-ROUND(P26/3/F29,2)*J29</f>
        <v>9283</v>
      </c>
      <c r="Q29" s="3">
        <f>H29/2-I29*E29</f>
        <v>149200.00000000023</v>
      </c>
      <c r="R29">
        <f t="shared" si="7"/>
        <v>332620</v>
      </c>
    </row>
    <row r="30" spans="1:18" x14ac:dyDescent="0.25">
      <c r="A30" s="7"/>
      <c r="B30" t="s">
        <v>10</v>
      </c>
      <c r="C30">
        <v>3820000</v>
      </c>
      <c r="D30">
        <v>612000</v>
      </c>
      <c r="E30" s="2">
        <f t="shared" si="0"/>
        <v>3.12</v>
      </c>
      <c r="F30">
        <v>44300</v>
      </c>
      <c r="G30">
        <f t="shared" si="1"/>
        <v>43.12</v>
      </c>
      <c r="H30">
        <v>3610000</v>
      </c>
      <c r="I30">
        <v>623000</v>
      </c>
      <c r="J30">
        <v>45600</v>
      </c>
      <c r="K30" s="2">
        <f>ROUND(E30+Q26/D30,2)</f>
        <v>2.95</v>
      </c>
      <c r="L30">
        <f>ROUND(G30+R26/F30+P26/2/F30,2)</f>
        <v>45.38</v>
      </c>
      <c r="M30">
        <f t="shared" si="2"/>
        <v>1837850</v>
      </c>
      <c r="N30">
        <f t="shared" si="3"/>
        <v>2069328.0000000002</v>
      </c>
      <c r="O30" s="3">
        <v>0</v>
      </c>
      <c r="P30" s="3">
        <f>P29-ROUND(P27/2/F30,2)*J30</f>
        <v>-38597</v>
      </c>
      <c r="Q30">
        <f t="shared" si="6"/>
        <v>-138760</v>
      </c>
      <c r="R30">
        <f>H30/2-J30*G30+P30</f>
        <v>-199868.99999999977</v>
      </c>
    </row>
    <row r="31" spans="1:18" x14ac:dyDescent="0.25">
      <c r="A31" s="7"/>
      <c r="B31" t="s">
        <v>11</v>
      </c>
      <c r="C31">
        <v>3820000</v>
      </c>
      <c r="D31">
        <v>659000</v>
      </c>
      <c r="E31" s="2">
        <f t="shared" si="0"/>
        <v>2.9</v>
      </c>
      <c r="F31">
        <v>41300</v>
      </c>
      <c r="G31">
        <f t="shared" si="1"/>
        <v>46.25</v>
      </c>
      <c r="H31">
        <v>3900000</v>
      </c>
      <c r="I31">
        <v>657000</v>
      </c>
      <c r="J31">
        <v>44900</v>
      </c>
      <c r="K31" s="2">
        <f>ROUND(E31+Q27/D31,2)</f>
        <v>3.18</v>
      </c>
      <c r="L31">
        <f>ROUND(G31+R27/F31,2)</f>
        <v>56.11</v>
      </c>
      <c r="M31">
        <f t="shared" si="2"/>
        <v>2089260</v>
      </c>
      <c r="N31">
        <f t="shared" si="3"/>
        <v>2519339</v>
      </c>
      <c r="O31" s="3">
        <v>0</v>
      </c>
      <c r="P31" s="3">
        <v>0</v>
      </c>
      <c r="Q31">
        <f>H31/2-I31*E31</f>
        <v>44700</v>
      </c>
      <c r="R31" s="3">
        <f>H31/2-J31*G31</f>
        <v>-126625</v>
      </c>
    </row>
    <row r="32" spans="1:18" x14ac:dyDescent="0.25">
      <c r="A32" s="7">
        <v>2027</v>
      </c>
      <c r="B32" t="s">
        <v>0</v>
      </c>
      <c r="C32">
        <v>3510000</v>
      </c>
      <c r="D32">
        <v>696000</v>
      </c>
      <c r="E32" s="2">
        <f t="shared" si="0"/>
        <v>2.52</v>
      </c>
      <c r="F32">
        <v>44700</v>
      </c>
      <c r="G32">
        <f t="shared" si="1"/>
        <v>39.26</v>
      </c>
      <c r="H32">
        <v>3370000</v>
      </c>
      <c r="I32">
        <v>696000</v>
      </c>
      <c r="J32">
        <v>45700</v>
      </c>
      <c r="K32" s="2">
        <f>ROUND(E32+Q28/D32,2)</f>
        <v>2.25</v>
      </c>
      <c r="L32">
        <f t="shared" ref="L32:L43" si="8">ROUND(G32+R29/F29,2)</f>
        <v>46.4</v>
      </c>
      <c r="M32">
        <f t="shared" si="2"/>
        <v>1566000</v>
      </c>
      <c r="N32">
        <f t="shared" si="3"/>
        <v>2120480</v>
      </c>
      <c r="O32">
        <v>0</v>
      </c>
      <c r="P32">
        <v>0</v>
      </c>
      <c r="Q32">
        <f t="shared" ref="Q32:Q43" si="9">H32/2-I32*E32</f>
        <v>-68920</v>
      </c>
      <c r="R32" s="3">
        <f t="shared" ref="R32:R43" si="10">P32+H32/2-J32*G32</f>
        <v>-109182</v>
      </c>
    </row>
    <row r="33" spans="1:18" x14ac:dyDescent="0.25">
      <c r="A33" s="7"/>
      <c r="B33" t="s">
        <v>1</v>
      </c>
      <c r="C33">
        <v>3690000</v>
      </c>
      <c r="D33">
        <v>611000</v>
      </c>
      <c r="E33" s="2">
        <f t="shared" si="0"/>
        <v>3.02</v>
      </c>
      <c r="F33">
        <v>40700</v>
      </c>
      <c r="G33">
        <f t="shared" si="1"/>
        <v>45.33</v>
      </c>
      <c r="H33">
        <v>3620000</v>
      </c>
      <c r="I33">
        <v>615000</v>
      </c>
      <c r="J33">
        <v>40800</v>
      </c>
      <c r="K33" s="2">
        <f t="shared" ref="K33:K43" si="11">ROUND(E33+Q30/D33,2)</f>
        <v>2.79</v>
      </c>
      <c r="L33">
        <f t="shared" si="8"/>
        <v>40.82</v>
      </c>
      <c r="M33">
        <f t="shared" si="2"/>
        <v>1715850</v>
      </c>
      <c r="N33">
        <f t="shared" si="3"/>
        <v>1665456</v>
      </c>
      <c r="O33">
        <v>0</v>
      </c>
      <c r="P33">
        <v>0</v>
      </c>
      <c r="Q33">
        <f t="shared" si="9"/>
        <v>-47300</v>
      </c>
      <c r="R33" s="3">
        <f t="shared" si="10"/>
        <v>-39464</v>
      </c>
    </row>
    <row r="34" spans="1:18" x14ac:dyDescent="0.25">
      <c r="A34" s="7"/>
      <c r="B34" t="s">
        <v>2</v>
      </c>
      <c r="C34">
        <v>3470000</v>
      </c>
      <c r="D34">
        <v>598000</v>
      </c>
      <c r="E34" s="2">
        <f t="shared" si="0"/>
        <v>2.9</v>
      </c>
      <c r="F34">
        <v>43500</v>
      </c>
      <c r="G34">
        <f t="shared" si="1"/>
        <v>39.89</v>
      </c>
      <c r="H34">
        <v>3770000</v>
      </c>
      <c r="I34">
        <v>613000</v>
      </c>
      <c r="J34">
        <v>44000</v>
      </c>
      <c r="K34" s="2">
        <f t="shared" si="11"/>
        <v>2.97</v>
      </c>
      <c r="L34">
        <f t="shared" si="8"/>
        <v>36.82</v>
      </c>
      <c r="M34">
        <f t="shared" si="2"/>
        <v>1820610.0000000002</v>
      </c>
      <c r="N34">
        <f t="shared" si="3"/>
        <v>1620080</v>
      </c>
      <c r="O34">
        <v>0</v>
      </c>
      <c r="P34">
        <v>0</v>
      </c>
      <c r="Q34">
        <f t="shared" si="9"/>
        <v>107300</v>
      </c>
      <c r="R34" s="3">
        <f t="shared" si="10"/>
        <v>129840</v>
      </c>
    </row>
    <row r="35" spans="1:18" x14ac:dyDescent="0.25">
      <c r="A35" s="7"/>
      <c r="B35" t="s">
        <v>3</v>
      </c>
      <c r="C35">
        <v>3700000</v>
      </c>
      <c r="D35">
        <v>557000</v>
      </c>
      <c r="E35" s="2">
        <f t="shared" si="0"/>
        <v>3.32</v>
      </c>
      <c r="F35">
        <v>44400</v>
      </c>
      <c r="G35">
        <f t="shared" si="1"/>
        <v>41.67</v>
      </c>
      <c r="H35">
        <v>3740000</v>
      </c>
      <c r="I35">
        <v>559000</v>
      </c>
      <c r="J35">
        <v>43700</v>
      </c>
      <c r="K35" s="2">
        <f t="shared" si="11"/>
        <v>3.2</v>
      </c>
      <c r="L35">
        <f t="shared" si="8"/>
        <v>39.229999999999997</v>
      </c>
      <c r="M35">
        <f t="shared" si="2"/>
        <v>1788800</v>
      </c>
      <c r="N35">
        <f t="shared" si="3"/>
        <v>1714350.9999999998</v>
      </c>
      <c r="O35">
        <v>0</v>
      </c>
      <c r="P35">
        <v>0</v>
      </c>
      <c r="Q35">
        <f t="shared" si="9"/>
        <v>14120</v>
      </c>
      <c r="R35" s="3">
        <f t="shared" si="10"/>
        <v>49021</v>
      </c>
    </row>
    <row r="36" spans="1:18" x14ac:dyDescent="0.25">
      <c r="A36" s="7"/>
      <c r="B36" t="s">
        <v>4</v>
      </c>
      <c r="C36">
        <v>3550000</v>
      </c>
      <c r="D36">
        <v>537000</v>
      </c>
      <c r="E36" s="2">
        <f t="shared" si="0"/>
        <v>3.31</v>
      </c>
      <c r="F36">
        <v>40100</v>
      </c>
      <c r="G36">
        <f t="shared" si="1"/>
        <v>44.26</v>
      </c>
      <c r="H36">
        <v>3810000</v>
      </c>
      <c r="I36">
        <v>538000</v>
      </c>
      <c r="J36">
        <v>40900</v>
      </c>
      <c r="K36" s="2">
        <f t="shared" si="11"/>
        <v>3.22</v>
      </c>
      <c r="L36">
        <f t="shared" si="8"/>
        <v>43.29</v>
      </c>
      <c r="M36">
        <f t="shared" si="2"/>
        <v>1732360</v>
      </c>
      <c r="N36">
        <f t="shared" si="3"/>
        <v>1770561</v>
      </c>
      <c r="O36">
        <v>0</v>
      </c>
      <c r="P36">
        <v>0</v>
      </c>
      <c r="Q36">
        <f t="shared" si="9"/>
        <v>124220</v>
      </c>
      <c r="R36" s="3">
        <f t="shared" si="10"/>
        <v>94766</v>
      </c>
    </row>
    <row r="37" spans="1:18" x14ac:dyDescent="0.25">
      <c r="A37" s="7"/>
      <c r="B37" t="s">
        <v>5</v>
      </c>
      <c r="C37">
        <v>3540000</v>
      </c>
      <c r="D37">
        <v>508000</v>
      </c>
      <c r="E37" s="2">
        <f t="shared" si="0"/>
        <v>3.48</v>
      </c>
      <c r="F37">
        <v>44400</v>
      </c>
      <c r="G37">
        <f t="shared" si="1"/>
        <v>39.86</v>
      </c>
      <c r="H37">
        <v>3800000</v>
      </c>
      <c r="I37">
        <v>501000</v>
      </c>
      <c r="J37">
        <v>47500</v>
      </c>
      <c r="K37" s="2">
        <f t="shared" si="11"/>
        <v>3.69</v>
      </c>
      <c r="L37">
        <f t="shared" si="8"/>
        <v>42.84</v>
      </c>
      <c r="M37">
        <f t="shared" si="2"/>
        <v>1848690</v>
      </c>
      <c r="N37">
        <f t="shared" si="3"/>
        <v>2034900.0000000002</v>
      </c>
      <c r="O37">
        <v>0</v>
      </c>
      <c r="P37">
        <v>0</v>
      </c>
      <c r="Q37">
        <f t="shared" si="9"/>
        <v>156520</v>
      </c>
      <c r="R37" s="3">
        <f t="shared" si="10"/>
        <v>6650</v>
      </c>
    </row>
    <row r="38" spans="1:18" x14ac:dyDescent="0.25">
      <c r="A38" s="7"/>
      <c r="B38" t="s">
        <v>6</v>
      </c>
      <c r="C38">
        <v>3550000</v>
      </c>
      <c r="D38">
        <v>542000</v>
      </c>
      <c r="E38" s="2">
        <f t="shared" si="0"/>
        <v>3.27</v>
      </c>
      <c r="F38">
        <v>44800</v>
      </c>
      <c r="G38">
        <f t="shared" si="1"/>
        <v>39.619999999999997</v>
      </c>
      <c r="H38">
        <v>3400000</v>
      </c>
      <c r="I38">
        <v>541000</v>
      </c>
      <c r="J38">
        <v>47100</v>
      </c>
      <c r="K38" s="2">
        <f t="shared" si="11"/>
        <v>3.3</v>
      </c>
      <c r="L38">
        <f t="shared" si="8"/>
        <v>40.72</v>
      </c>
      <c r="M38">
        <f t="shared" si="2"/>
        <v>1785300</v>
      </c>
      <c r="N38">
        <f t="shared" si="3"/>
        <v>1917912</v>
      </c>
      <c r="O38">
        <v>0</v>
      </c>
      <c r="P38">
        <v>0</v>
      </c>
      <c r="Q38">
        <f t="shared" si="9"/>
        <v>-69070</v>
      </c>
      <c r="R38" s="3">
        <f t="shared" si="10"/>
        <v>-166101.99999999977</v>
      </c>
    </row>
    <row r="39" spans="1:18" x14ac:dyDescent="0.25">
      <c r="A39" s="7"/>
      <c r="B39" t="s">
        <v>7</v>
      </c>
      <c r="C39">
        <v>3450000</v>
      </c>
      <c r="D39">
        <v>546000</v>
      </c>
      <c r="E39" s="2">
        <f t="shared" si="0"/>
        <v>3.16</v>
      </c>
      <c r="F39">
        <v>45400</v>
      </c>
      <c r="G39">
        <f t="shared" si="1"/>
        <v>38</v>
      </c>
      <c r="H39">
        <v>3720000</v>
      </c>
      <c r="I39">
        <v>542000</v>
      </c>
      <c r="J39">
        <v>40700</v>
      </c>
      <c r="K39" s="2">
        <f t="shared" si="11"/>
        <v>3.39</v>
      </c>
      <c r="L39">
        <f t="shared" si="8"/>
        <v>40.36</v>
      </c>
      <c r="M39">
        <f t="shared" si="2"/>
        <v>1837380</v>
      </c>
      <c r="N39">
        <f t="shared" si="3"/>
        <v>1642652</v>
      </c>
      <c r="O39">
        <v>0</v>
      </c>
      <c r="P39">
        <v>0</v>
      </c>
      <c r="Q39">
        <f t="shared" si="9"/>
        <v>147280</v>
      </c>
      <c r="R39" s="3">
        <f t="shared" si="10"/>
        <v>313400</v>
      </c>
    </row>
    <row r="40" spans="1:18" x14ac:dyDescent="0.25">
      <c r="A40" s="7"/>
      <c r="B40" t="s">
        <v>8</v>
      </c>
      <c r="C40">
        <v>3690000</v>
      </c>
      <c r="D40">
        <v>527000</v>
      </c>
      <c r="E40" s="2">
        <f t="shared" si="0"/>
        <v>3.5</v>
      </c>
      <c r="F40">
        <v>44700</v>
      </c>
      <c r="G40">
        <f t="shared" si="1"/>
        <v>41.28</v>
      </c>
      <c r="H40">
        <v>3470000</v>
      </c>
      <c r="I40">
        <v>536000</v>
      </c>
      <c r="J40">
        <v>42300</v>
      </c>
      <c r="K40" s="2">
        <f t="shared" si="11"/>
        <v>3.8</v>
      </c>
      <c r="L40">
        <f t="shared" si="8"/>
        <v>41.43</v>
      </c>
      <c r="M40">
        <f t="shared" si="2"/>
        <v>2036800</v>
      </c>
      <c r="N40">
        <f t="shared" si="3"/>
        <v>1752489</v>
      </c>
      <c r="O40">
        <v>0</v>
      </c>
      <c r="P40">
        <v>0</v>
      </c>
      <c r="Q40">
        <f t="shared" si="9"/>
        <v>-141000</v>
      </c>
      <c r="R40" s="3">
        <f t="shared" si="10"/>
        <v>-11144</v>
      </c>
    </row>
    <row r="41" spans="1:18" x14ac:dyDescent="0.25">
      <c r="A41" s="7"/>
      <c r="B41" t="s">
        <v>9</v>
      </c>
      <c r="C41">
        <v>3760000</v>
      </c>
      <c r="D41">
        <v>596000</v>
      </c>
      <c r="E41" s="2">
        <f t="shared" si="0"/>
        <v>3.15</v>
      </c>
      <c r="F41">
        <v>41200</v>
      </c>
      <c r="G41">
        <f t="shared" si="1"/>
        <v>45.63</v>
      </c>
      <c r="H41">
        <v>3580000</v>
      </c>
      <c r="I41">
        <v>584000</v>
      </c>
      <c r="J41">
        <v>44500</v>
      </c>
      <c r="K41" s="2">
        <f t="shared" si="11"/>
        <v>3.03</v>
      </c>
      <c r="L41">
        <f t="shared" si="8"/>
        <v>41.92</v>
      </c>
      <c r="M41">
        <f t="shared" si="2"/>
        <v>1769520</v>
      </c>
      <c r="N41">
        <f t="shared" si="3"/>
        <v>1865440</v>
      </c>
      <c r="O41">
        <v>0</v>
      </c>
      <c r="P41">
        <v>0</v>
      </c>
      <c r="Q41">
        <f t="shared" si="9"/>
        <v>-49600</v>
      </c>
      <c r="R41" s="3">
        <f t="shared" si="10"/>
        <v>-240535</v>
      </c>
    </row>
    <row r="42" spans="1:18" x14ac:dyDescent="0.25">
      <c r="A42" s="7"/>
      <c r="B42" t="s">
        <v>10</v>
      </c>
      <c r="C42">
        <v>3730000</v>
      </c>
      <c r="D42">
        <v>617000</v>
      </c>
      <c r="E42" s="2">
        <f t="shared" si="0"/>
        <v>3.02</v>
      </c>
      <c r="F42">
        <v>42700</v>
      </c>
      <c r="G42">
        <f t="shared" si="1"/>
        <v>43.68</v>
      </c>
      <c r="H42">
        <v>3760000</v>
      </c>
      <c r="I42">
        <v>607000</v>
      </c>
      <c r="J42">
        <v>47700</v>
      </c>
      <c r="K42" s="2">
        <f t="shared" si="11"/>
        <v>3.26</v>
      </c>
      <c r="L42">
        <f t="shared" si="8"/>
        <v>50.58</v>
      </c>
      <c r="M42">
        <f t="shared" si="2"/>
        <v>1978819.9999999998</v>
      </c>
      <c r="N42">
        <f t="shared" si="3"/>
        <v>2412666</v>
      </c>
      <c r="O42">
        <v>0</v>
      </c>
      <c r="P42">
        <v>0</v>
      </c>
      <c r="Q42">
        <f t="shared" si="9"/>
        <v>46860</v>
      </c>
      <c r="R42" s="3">
        <f t="shared" si="10"/>
        <v>-203536</v>
      </c>
    </row>
    <row r="43" spans="1:18" x14ac:dyDescent="0.25">
      <c r="A43" s="7"/>
      <c r="B43" t="s">
        <v>11</v>
      </c>
      <c r="C43">
        <v>3600000</v>
      </c>
      <c r="D43">
        <v>709000</v>
      </c>
      <c r="E43" s="2">
        <f t="shared" si="0"/>
        <v>2.54</v>
      </c>
      <c r="F43">
        <v>47300</v>
      </c>
      <c r="G43">
        <f t="shared" si="1"/>
        <v>38.049999999999997</v>
      </c>
      <c r="H43">
        <v>3820000</v>
      </c>
      <c r="I43">
        <v>706000</v>
      </c>
      <c r="J43">
        <v>47300</v>
      </c>
      <c r="K43" s="2">
        <f t="shared" si="11"/>
        <v>2.34</v>
      </c>
      <c r="L43">
        <f t="shared" si="8"/>
        <v>37.799999999999997</v>
      </c>
      <c r="M43">
        <f t="shared" si="2"/>
        <v>1652040</v>
      </c>
      <c r="N43">
        <f t="shared" si="3"/>
        <v>1787939.9999999998</v>
      </c>
      <c r="O43">
        <v>0</v>
      </c>
      <c r="P43">
        <v>0</v>
      </c>
      <c r="Q43">
        <f t="shared" si="9"/>
        <v>116760</v>
      </c>
      <c r="R43" s="3">
        <f t="shared" si="10"/>
        <v>110235.00000000023</v>
      </c>
    </row>
  </sheetData>
  <mergeCells count="4">
    <mergeCell ref="A8:A19"/>
    <mergeCell ref="A20:A31"/>
    <mergeCell ref="A32:A43"/>
    <mergeCell ref="E6:F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>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Kalvis Ertmanis</dc:creator>
  <cp:lastModifiedBy>Ingus Užulis</cp:lastModifiedBy>
  <cp:lastPrinted>2025-01-17T12:36:33Z</cp:lastPrinted>
  <dcterms:created xsi:type="dcterms:W3CDTF">2025-01-09T20:39:39Z</dcterms:created>
  <dcterms:modified xsi:type="dcterms:W3CDTF">2025-01-17T12:37:09Z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cffd26-8a8e-4271-ae8c-0448cc98c6fa_Enabled">
    <vt:lpwstr>true</vt:lpwstr>
  </property>
  <property fmtid="{D5CDD505-2E9C-101B-9397-08002B2CF9AE}" pid="3" name="MSIP_Label_66cffd26-8a8e-4271-ae8c-0448cc98c6fa_SetDate">
    <vt:lpwstr>2025-01-09T21:43:52Z</vt:lpwstr>
  </property>
  <property fmtid="{D5CDD505-2E9C-101B-9397-08002B2CF9AE}" pid="4" name="MSIP_Label_66cffd26-8a8e-4271-ae8c-0448cc98c6fa_Method">
    <vt:lpwstr>Standard</vt:lpwstr>
  </property>
  <property fmtid="{D5CDD505-2E9C-101B-9397-08002B2CF9AE}" pid="5" name="MSIP_Label_66cffd26-8a8e-4271-ae8c-0448cc98c6fa_Name">
    <vt:lpwstr>AST dokumenti</vt:lpwstr>
  </property>
  <property fmtid="{D5CDD505-2E9C-101B-9397-08002B2CF9AE}" pid="6" name="MSIP_Label_66cffd26-8a8e-4271-ae8c-0448cc98c6fa_SiteId">
    <vt:lpwstr>c4c0dd7c-1dfb-4088-9303-96b608da35b3</vt:lpwstr>
  </property>
  <property fmtid="{D5CDD505-2E9C-101B-9397-08002B2CF9AE}" pid="7" name="MSIP_Label_66cffd26-8a8e-4271-ae8c-0448cc98c6fa_ActionId">
    <vt:lpwstr>aadb2a33-368f-42f7-a515-417e90511e7a</vt:lpwstr>
  </property>
  <property fmtid="{D5CDD505-2E9C-101B-9397-08002B2CF9AE}" pid="8" name="MSIP_Label_66cffd26-8a8e-4271-ae8c-0448cc98c6fa_ContentBits">
    <vt:lpwstr>0</vt:lpwstr>
  </property>
</Properties>
</file>